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Questa_cartella_di_lavoro"/>
  <bookViews>
    <workbookView xWindow="-120" yWindow="-120" windowWidth="19440" windowHeight="11160"/>
  </bookViews>
  <sheets>
    <sheet name="Simulatore UnD" sheetId="2" r:id="rId1"/>
    <sheet name="Dati UnD" sheetId="3" r:id="rId2"/>
    <sheet name="Foglio1" sheetId="4" r:id="rId3"/>
  </sheets>
  <definedNames>
    <definedName name="Categ">'Dati UnD'!$B$3:$B$32</definedName>
    <definedName name="Categ2">'Dati UnD'!$B$3:$B$33</definedName>
    <definedName name="Contenitori">'Dati UnD'!$I$5:$I$11</definedName>
    <definedName name="Si_No">'Dati UnD'!$M$4:$M$6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/>
  <c r="H10"/>
  <c r="H12"/>
  <c r="H4"/>
  <c r="H13" s="1"/>
  <c r="G12"/>
  <c r="G4"/>
  <c r="G13" s="1"/>
  <c r="F12"/>
  <c r="F4"/>
  <c r="F13" s="1"/>
  <c r="E4"/>
  <c r="E13" s="1"/>
  <c r="D4"/>
  <c r="D11" s="1"/>
  <c r="F10"/>
  <c r="G17" l="1"/>
  <c r="G18" s="1"/>
  <c r="H11"/>
  <c r="E11"/>
  <c r="F11"/>
  <c r="F15" s="1"/>
  <c r="F16" s="1"/>
  <c r="G11"/>
  <c r="H15"/>
  <c r="H16" s="1"/>
  <c r="I13"/>
  <c r="F17"/>
  <c r="I12"/>
  <c r="H17"/>
  <c r="H18" s="1"/>
  <c r="G10"/>
  <c r="G15" s="1"/>
  <c r="G16" s="1"/>
  <c r="D15"/>
  <c r="E10"/>
  <c r="D20" i="2"/>
  <c r="I11" i="4" l="1"/>
  <c r="I16"/>
  <c r="E15"/>
  <c r="I15" s="1"/>
  <c r="J15" s="1"/>
  <c r="F18"/>
  <c r="I18" s="1"/>
  <c r="I17"/>
  <c r="I10"/>
  <c r="J10" s="1"/>
  <c r="J17" l="1"/>
  <c r="K15" s="1"/>
  <c r="P32" i="3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B2" i="2" l="1"/>
  <c r="J5" i="3"/>
  <c r="J6"/>
  <c r="J7"/>
  <c r="J8"/>
  <c r="J9"/>
  <c r="J10"/>
  <c r="J11"/>
  <c r="E14" i="2" l="1"/>
  <c r="D12"/>
  <c r="F13" l="1"/>
  <c r="D14" l="1"/>
  <c r="D21" s="1"/>
  <c r="D22" l="1"/>
  <c r="D23" l="1"/>
  <c r="D27" s="1"/>
</calcChain>
</file>

<file path=xl/sharedStrings.xml><?xml version="1.0" encoding="utf-8"?>
<sst xmlns="http://schemas.openxmlformats.org/spreadsheetml/2006/main" count="119" uniqueCount="108">
  <si>
    <t>Contenitori</t>
  </si>
  <si>
    <t>Si/No</t>
  </si>
  <si>
    <t>No</t>
  </si>
  <si>
    <t>€/lt.</t>
  </si>
  <si>
    <t>Svuotamenti minimi:</t>
  </si>
  <si>
    <t>INSERIMENTO DEI DATI PER IL CALCOLO</t>
  </si>
  <si>
    <t xml:space="preserve">NOTA: E' obbligatorio l'inserimento dei dati nelle caselle evidenziate in giallo </t>
  </si>
  <si>
    <t>RISULTATO DELLA SIMULAZIONE</t>
  </si>
  <si>
    <t>inserire il numero di svuotamenti previsto del contenitore dell'indifferenziato</t>
  </si>
  <si>
    <t>inserire la superficie dichiarata ai fini TARI</t>
  </si>
  <si>
    <t>importo tariffa al nello del contributo Città Metropolitana</t>
  </si>
  <si>
    <t>ISTRUZIONI</t>
  </si>
  <si>
    <t>vedi punto 2) istruzioni</t>
  </si>
  <si>
    <t xml:space="preserve">al fine di individuare la tipologia dei contenitori verificare  le dimensioni approssimative indicate nella tabella riportata a lato
</t>
  </si>
  <si>
    <t xml:space="preserve">vedi punto 3) istruzioni </t>
  </si>
  <si>
    <t>il numero di svuotamenti annuali che viene riportato non può essere superiore al numero di passaggi previsto dal calendario</t>
  </si>
  <si>
    <r>
      <t>Superficie dell'unità immobiliare</t>
    </r>
    <r>
      <rPr>
        <b/>
        <sz val="10"/>
        <color theme="1"/>
        <rFont val="Calibri"/>
        <family val="2"/>
        <scheme val="minor"/>
      </rPr>
      <t xml:space="preserve"> (mq.)</t>
    </r>
    <r>
      <rPr>
        <b/>
        <sz val="11"/>
        <color theme="1"/>
        <rFont val="Calibri"/>
        <family val="2"/>
        <scheme val="minor"/>
      </rPr>
      <t xml:space="preserve">: </t>
    </r>
  </si>
  <si>
    <t xml:space="preserve">Il contributo  città metropolitana di Roma Capitale è pari al 5% </t>
  </si>
  <si>
    <t>Contributo Città Metropolitana Roma Capitale</t>
  </si>
  <si>
    <t>Tipo</t>
  </si>
  <si>
    <t>litri</t>
  </si>
  <si>
    <t>Mastello</t>
  </si>
  <si>
    <t>Sacchetto</t>
  </si>
  <si>
    <t>Bidone 2 ruote</t>
  </si>
  <si>
    <t>Cassonetto</t>
  </si>
  <si>
    <t>altezza</t>
  </si>
  <si>
    <t>Circonferenza</t>
  </si>
  <si>
    <t>Dimensioni in cm</t>
  </si>
  <si>
    <t>Numero svuotamenti annui ulteriori rispetto a quelli minimi addebitati</t>
  </si>
  <si>
    <t xml:space="preserve">LANUVIO </t>
  </si>
  <si>
    <t>Tariffa variabile</t>
  </si>
  <si>
    <t>€/svuot.</t>
  </si>
  <si>
    <t>Si ma senza rinuncia alla racc. umido domiciliare</t>
  </si>
  <si>
    <t>Si e con rinuncia alla racc. umido domiciliare</t>
  </si>
  <si>
    <t>NOTA: verificare che i dati obbligatori delle caselle evidenziate in giallo (1 - 2 - 3 - 5 - 6) siano tutti compilati</t>
  </si>
  <si>
    <t>IMPORTO COMPLESSIVO TARI PUNTUALE</t>
  </si>
  <si>
    <t>Totale TARI puntuale</t>
  </si>
  <si>
    <t>N. svuotamenti annui effettivi a consuntivo o previsti per il contenitore dell'indifferenziato</t>
  </si>
  <si>
    <t>Utenze Non domestiche</t>
  </si>
  <si>
    <t>Categoria dell'utenza non domestica:</t>
  </si>
  <si>
    <t>inserire la categoria dell'utenza non domestica</t>
  </si>
  <si>
    <t>Attività</t>
  </si>
  <si>
    <t>Cod. Att.</t>
  </si>
  <si>
    <t>Tariffa x mq</t>
  </si>
  <si>
    <t>litri/mq.anno per residuo</t>
  </si>
  <si>
    <r>
      <t xml:space="preserve">Contenitore RU residuo: </t>
    </r>
    <r>
      <rPr>
        <b/>
        <sz val="10"/>
        <color theme="1"/>
        <rFont val="Calibri"/>
        <family val="2"/>
        <scheme val="minor"/>
      </rPr>
      <t>(litri)</t>
    </r>
  </si>
  <si>
    <t>Simulatore di calcolo della TARI Puntuale</t>
  </si>
  <si>
    <t xml:space="preserve">il numero di svuotamenti minimi, che vengono comunque pagati in tariffa  è dato dalla seguente formula: metri quadri attività moltiplicati per il coefficiente (litri/mq) della categoria del DPR 158/1999 di appartanenza con arrotondamento in eccesso al volume del contenitore prescelto (ad es. bidoni da 120 litri) per ottenere il numero di svuotamenti minimi preassegnati per il rifiuto residuo. </t>
  </si>
  <si>
    <t>1 Musei, biblioteche, scuole, associazioni, luoghi di culto</t>
  </si>
  <si>
    <t>2 Cinematografi e teatri</t>
  </si>
  <si>
    <t>3 Autorimesse e magazzini senza alcuna vendita diretta</t>
  </si>
  <si>
    <t>4 Campeggi, distributori carburanti, impianti sportivi</t>
  </si>
  <si>
    <t>5 Stabilimenti balneari</t>
  </si>
  <si>
    <t>6 Esposizioni, autosaloni</t>
  </si>
  <si>
    <t>7 Alberghi con ristorante</t>
  </si>
  <si>
    <t>8 Alberghi senza ristorante</t>
  </si>
  <si>
    <t>9 Case di cura e riposo</t>
  </si>
  <si>
    <t>10 Ospedali</t>
  </si>
  <si>
    <t>13 Negozi abbigliamento, calzature, libreria, cartoleria, ferramenta e altri beni durevoli</t>
  </si>
  <si>
    <t>14 Edicola, farmacia, tabaccaio, plurilicenze</t>
  </si>
  <si>
    <t>15 Negozi particolari quali filatelia, tende e tessuti, tappeti, cappelli e ombrelli, antiquariato</t>
  </si>
  <si>
    <t>16 Banchi di mercato beni durevoli</t>
  </si>
  <si>
    <t>17 Attività artigianali tipo botteghe: parrucchiere, barbiere, estetista</t>
  </si>
  <si>
    <t>18 Attività artigianali tipo botteghe: falegname, idraulico, fabbro, elettricista</t>
  </si>
  <si>
    <t>19 Carrozzeria, autofficina, elettrauto</t>
  </si>
  <si>
    <t>20 Attività industriali con capannoni di produzione</t>
  </si>
  <si>
    <t>21 Attività artigianali di produzione beni specifici</t>
  </si>
  <si>
    <t>22 Ristoranti, trattorie, osterie, pizzerie, pub</t>
  </si>
  <si>
    <t>23 Mense, birrerie, amburgherie</t>
  </si>
  <si>
    <t>24 Bar, caffè, pasticceria</t>
  </si>
  <si>
    <t>25 Supermercato, pane e pasta, macelleria, salumi e formaggi, generi alimentari</t>
  </si>
  <si>
    <t>26 Plurilicenze alimentari e/o miste</t>
  </si>
  <si>
    <t>27 Ortofrutta, pescherie, fiori e piante, pizza al taglio</t>
  </si>
  <si>
    <t>28 Ipermercati di generi misti</t>
  </si>
  <si>
    <t>29 Banchi di mercato generi alimentari</t>
  </si>
  <si>
    <t>30 Discoteche, night club</t>
  </si>
  <si>
    <r>
      <t xml:space="preserve">Percentuale dello sconto sulla </t>
    </r>
    <r>
      <rPr>
        <b/>
        <sz val="11"/>
        <color theme="1"/>
        <rFont val="Calibri"/>
        <family val="2"/>
        <scheme val="minor"/>
      </rPr>
      <t>quota fissa</t>
    </r>
    <r>
      <rPr>
        <sz val="11"/>
        <color theme="1"/>
        <rFont val="Calibri"/>
        <family val="2"/>
        <scheme val="minor"/>
      </rPr>
      <t xml:space="preserve"> di cui l'utente ha diritto</t>
    </r>
  </si>
  <si>
    <r>
      <t xml:space="preserve">Percentuale dello sconto sulla </t>
    </r>
    <r>
      <rPr>
        <b/>
        <sz val="11"/>
        <color theme="1"/>
        <rFont val="Calibri"/>
        <family val="2"/>
        <scheme val="minor"/>
      </rPr>
      <t>quota variabile</t>
    </r>
    <r>
      <rPr>
        <sz val="11"/>
        <color theme="1"/>
        <rFont val="Calibri"/>
        <family val="2"/>
        <scheme val="minor"/>
      </rPr>
      <t xml:space="preserve"> di cui l'utente ha diritto</t>
    </r>
  </si>
  <si>
    <t>In questa casella l'utente può inserire la % di riduzione della quota fissa di cui ha diritto a fronte di eventuali fattispecie elencate all'art. 13 e 14 del regolamento TARI</t>
  </si>
  <si>
    <t>In questa casella l'utente può inserire la % di riduzione della quota variabile di cui ha diritto a fronte di eventuali fattispecie elencate all'art. 13 e 14 del regolamento TARI</t>
  </si>
  <si>
    <t>% di riduzione della quota fissa di cui l'utente ha diritto a fronte di eventuali fattispecie elencate all'art. 13 e 14 del regolamento TARI</t>
  </si>
  <si>
    <t>% di riduzione della quota variabile di cui l'utente ha diritto a fronte di eventuali fattispecie elencate all'art. 13 e 14 del regolamento TARI</t>
  </si>
  <si>
    <t>Quota variabile dipendente dal numero di svuotamenti effettivi a consuntivo al netto di eventuali riduzioni percentuali</t>
  </si>
  <si>
    <t>Quota  fissa determinata in base alla categoria di appartenza e dalla superficie a ruolo al netto di eventuali riduzioni percentuali</t>
  </si>
  <si>
    <t>Quota parte fissa con event. rid.</t>
  </si>
  <si>
    <t>Quota relativa agli svuotamenti con event. rid.</t>
  </si>
  <si>
    <t>vedi punto 4) istruzioni</t>
  </si>
  <si>
    <t>vedi punto 4), 5) e 6) delle istruzioni</t>
  </si>
  <si>
    <t>vedi punto 9) delle istruzioni</t>
  </si>
  <si>
    <t>contributo fissato con legge 504 /1992 vedi punto 12) istruzioni</t>
  </si>
  <si>
    <t>Quota legata al numero di svuotamenti dell'indifferenziato (comprensiva degli svuotamenti minimi di cui al precedente punto 4)</t>
  </si>
  <si>
    <t>Cat3</t>
  </si>
  <si>
    <t>Mq</t>
  </si>
  <si>
    <t>omessa</t>
  </si>
  <si>
    <t>infedele</t>
  </si>
  <si>
    <t>Cat13</t>
  </si>
  <si>
    <t>Imposta dovuta con Categoria 13</t>
  </si>
  <si>
    <t>Imposta dovuta con categoria 3</t>
  </si>
  <si>
    <t>differenza imposta</t>
  </si>
  <si>
    <t>differenza sanzioni (ridotte)</t>
  </si>
  <si>
    <t>TOTALE</t>
  </si>
  <si>
    <t>21 A</t>
  </si>
  <si>
    <t>11 Uffici, agenzie</t>
  </si>
  <si>
    <t>12 Banche,  istituti di credito e studi professionali</t>
  </si>
  <si>
    <t>21-A Agriturismi</t>
  </si>
  <si>
    <t>UR1</t>
  </si>
  <si>
    <t>UR2</t>
  </si>
  <si>
    <t>UR3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</si>
</sst>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  <numFmt numFmtId="165" formatCode="\(#\)"/>
    <numFmt numFmtId="166" formatCode="&quot;€&quot;\ #,##0.00"/>
    <numFmt numFmtId="167" formatCode="&quot;€&quot;\ #,##0.000"/>
    <numFmt numFmtId="168" formatCode="_-* #,##0.00\ [$€-410]_-;\-* #,##0.00\ [$€-410]_-;_-* &quot;-&quot;??\ [$€-410]_-;_-@_-"/>
  </numFmts>
  <fonts count="2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221F1F"/>
      </left>
      <right/>
      <top style="thin">
        <color rgb="FF221F1F"/>
      </top>
      <bottom style="thin">
        <color rgb="FF221F1F"/>
      </bottom>
      <diagonal/>
    </border>
  </borders>
  <cellStyleXfs count="3">
    <xf numFmtId="0" fontId="0" fillId="0" borderId="0"/>
    <xf numFmtId="0" fontId="17" fillId="0" borderId="0"/>
    <xf numFmtId="44" fontId="20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5" fontId="12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1" xfId="0" applyFont="1" applyBorder="1"/>
    <xf numFmtId="0" fontId="1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164" fontId="4" fillId="0" borderId="1" xfId="0" applyNumberFormat="1" applyFont="1" applyBorder="1"/>
    <xf numFmtId="164" fontId="9" fillId="0" borderId="1" xfId="0" applyNumberFormat="1" applyFont="1" applyBorder="1"/>
    <xf numFmtId="49" fontId="7" fillId="0" borderId="0" xfId="0" applyNumberFormat="1" applyFont="1"/>
    <xf numFmtId="0" fontId="14" fillId="0" borderId="0" xfId="0" applyFont="1"/>
    <xf numFmtId="0" fontId="0" fillId="0" borderId="1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9" fontId="0" fillId="0" borderId="1" xfId="0" applyNumberFormat="1" applyBorder="1"/>
    <xf numFmtId="0" fontId="5" fillId="0" borderId="1" xfId="0" applyFont="1" applyBorder="1"/>
    <xf numFmtId="166" fontId="0" fillId="0" borderId="1" xfId="0" applyNumberFormat="1" applyBorder="1"/>
    <xf numFmtId="167" fontId="0" fillId="2" borderId="1" xfId="0" applyNumberForma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2" xfId="0" applyFont="1" applyBorder="1"/>
    <xf numFmtId="0" fontId="0" fillId="0" borderId="22" xfId="0" applyBorder="1"/>
    <xf numFmtId="0" fontId="7" fillId="0" borderId="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8" fillId="0" borderId="1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18" fillId="0" borderId="1" xfId="1" applyFont="1" applyBorder="1" applyAlignment="1">
      <alignment horizontal="right"/>
    </xf>
    <xf numFmtId="0" fontId="19" fillId="0" borderId="1" xfId="1" applyFont="1" applyBorder="1" applyAlignment="1">
      <alignment horizontal="right"/>
    </xf>
    <xf numFmtId="0" fontId="5" fillId="2" borderId="0" xfId="0" applyFont="1" applyFill="1" applyAlignment="1">
      <alignment horizontal="right"/>
    </xf>
    <xf numFmtId="0" fontId="13" fillId="0" borderId="0" xfId="0" applyFont="1" applyAlignment="1">
      <alignment horizontal="left"/>
    </xf>
    <xf numFmtId="0" fontId="0" fillId="0" borderId="0" xfId="0"/>
    <xf numFmtId="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2" fillId="0" borderId="1" xfId="0" applyFont="1" applyBorder="1"/>
    <xf numFmtId="0" fontId="0" fillId="0" borderId="0" xfId="0"/>
    <xf numFmtId="0" fontId="0" fillId="0" borderId="0" xfId="0" applyAlignment="1">
      <alignment horizontal="right"/>
    </xf>
    <xf numFmtId="168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/>
    <xf numFmtId="14" fontId="0" fillId="0" borderId="0" xfId="0" applyNumberFormat="1"/>
    <xf numFmtId="2" fontId="21" fillId="0" borderId="24" xfId="0" applyNumberFormat="1" applyFont="1" applyFill="1" applyBorder="1" applyAlignment="1">
      <alignment horizontal="center" vertical="top" shrinkToFit="1"/>
    </xf>
    <xf numFmtId="44" fontId="21" fillId="0" borderId="24" xfId="2" applyFont="1" applyFill="1" applyBorder="1" applyAlignment="1">
      <alignment vertical="top" shrinkToFit="1"/>
    </xf>
    <xf numFmtId="0" fontId="12" fillId="0" borderId="0" xfId="0" applyFont="1" applyAlignment="1">
      <alignment vertical="center" wrapText="1"/>
    </xf>
    <xf numFmtId="0" fontId="0" fillId="0" borderId="0" xfId="0" applyAlignment="1"/>
    <xf numFmtId="0" fontId="0" fillId="0" borderId="0" xfId="0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/>
    <xf numFmtId="166" fontId="16" fillId="0" borderId="2" xfId="0" applyNumberFormat="1" applyFont="1" applyBorder="1" applyAlignment="1">
      <alignment horizontal="left" vertical="center" wrapText="1"/>
    </xf>
    <xf numFmtId="166" fontId="16" fillId="0" borderId="0" xfId="0" applyNumberFormat="1" applyFont="1" applyAlignment="1">
      <alignment horizontal="left" vertical="center" wrapText="1"/>
    </xf>
    <xf numFmtId="0" fontId="18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/>
    <xf numFmtId="0" fontId="12" fillId="0" borderId="3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2" fillId="0" borderId="3" xfId="0" applyFon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 applyProtection="1">
      <alignment horizontal="center" vertical="center" wrapText="1"/>
      <protection locked="0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/>
  </cellXfs>
  <cellStyles count="3">
    <cellStyle name="Normale" xfId="0" builtinId="0"/>
    <cellStyle name="Normale 2" xfId="1"/>
    <cellStyle name="Valuta" xfId="2" builtinId="4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31</xdr:row>
      <xdr:rowOff>168519</xdr:rowOff>
    </xdr:from>
    <xdr:to>
      <xdr:col>5</xdr:col>
      <xdr:colOff>468923</xdr:colOff>
      <xdr:row>31</xdr:row>
      <xdr:rowOff>171450</xdr:rowOff>
    </xdr:to>
    <xdr:cxnSp macro="">
      <xdr:nvCxnSpPr>
        <xdr:cNvPr id="9" name="Connettore 2 8">
          <a:extLst>
            <a:ext uri="{FF2B5EF4-FFF2-40B4-BE49-F238E27FC236}">
              <a16:creationId xmlns="" xmlns:a16="http://schemas.microsoft.com/office/drawing/2014/main" id="{58764C11-E80E-4B55-8C6C-5B68A9451826}"/>
            </a:ext>
          </a:extLst>
        </xdr:cNvPr>
        <xdr:cNvCxnSpPr/>
      </xdr:nvCxnSpPr>
      <xdr:spPr>
        <a:xfrm flipV="1">
          <a:off x="4801333" y="7165731"/>
          <a:ext cx="459398" cy="2931"/>
        </a:xfrm>
        <a:prstGeom prst="straightConnector1">
          <a:avLst/>
        </a:prstGeom>
        <a:ln w="5715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533400</xdr:colOff>
      <xdr:row>30</xdr:row>
      <xdr:rowOff>50799</xdr:rowOff>
    </xdr:from>
    <xdr:to>
      <xdr:col>9</xdr:col>
      <xdr:colOff>520700</xdr:colOff>
      <xdr:row>34</xdr:row>
      <xdr:rowOff>97286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5F6CEEC0-AA5B-4355-A8E4-45387950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6032499"/>
          <a:ext cx="3594100" cy="202768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K41"/>
  <sheetViews>
    <sheetView showGridLines="0" tabSelected="1" topLeftCell="A7" zoomScale="75" zoomScaleNormal="75" workbookViewId="0">
      <selection activeCell="F13" sqref="F13:I13"/>
    </sheetView>
  </sheetViews>
  <sheetFormatPr defaultRowHeight="12.75"/>
  <cols>
    <col min="2" max="2" width="3" customWidth="1"/>
    <col min="3" max="3" width="42.42578125" customWidth="1"/>
    <col min="4" max="4" width="13.42578125" customWidth="1"/>
    <col min="5" max="5" width="6.140625" customWidth="1"/>
    <col min="6" max="9" width="13.42578125" customWidth="1"/>
    <col min="10" max="10" width="18.28515625" customWidth="1"/>
    <col min="11" max="11" width="11.5703125" customWidth="1"/>
  </cols>
  <sheetData>
    <row r="1" spans="1:11">
      <c r="A1" s="42"/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1" ht="18.75">
      <c r="A2" s="45"/>
      <c r="B2" s="76" t="str">
        <f>"COMUNE DI "&amp;'Dati UnD'!I2</f>
        <v xml:space="preserve">COMUNE DI LANUVIO </v>
      </c>
      <c r="C2" s="76"/>
      <c r="D2" s="76"/>
      <c r="E2" s="76"/>
      <c r="F2" s="76"/>
      <c r="G2" s="76"/>
      <c r="H2" s="76"/>
      <c r="I2" s="76"/>
      <c r="J2" s="76"/>
      <c r="K2" s="46"/>
    </row>
    <row r="3" spans="1:11" ht="15">
      <c r="A3" s="45"/>
      <c r="B3" s="77" t="s">
        <v>46</v>
      </c>
      <c r="C3" s="77"/>
      <c r="D3" s="77"/>
      <c r="E3" s="77"/>
      <c r="F3" s="77"/>
      <c r="G3" s="77"/>
      <c r="H3" s="77"/>
      <c r="I3" s="77"/>
      <c r="J3" s="77"/>
      <c r="K3" s="46"/>
    </row>
    <row r="4" spans="1:11" ht="15">
      <c r="A4" s="45"/>
      <c r="B4" s="77" t="s">
        <v>38</v>
      </c>
      <c r="C4" s="77"/>
      <c r="D4" s="77"/>
      <c r="E4" s="77"/>
      <c r="F4" s="77"/>
      <c r="G4" s="77"/>
      <c r="H4" s="77"/>
      <c r="I4" s="77"/>
      <c r="J4" s="77"/>
      <c r="K4" s="46"/>
    </row>
    <row r="5" spans="1:11" ht="15">
      <c r="A5" s="45"/>
      <c r="B5" s="3"/>
      <c r="C5" s="4"/>
      <c r="D5" s="4"/>
      <c r="E5" s="4"/>
      <c r="F5" s="4"/>
      <c r="G5" s="4"/>
      <c r="H5" s="4"/>
      <c r="I5" s="4"/>
      <c r="J5" s="3"/>
      <c r="K5" s="46"/>
    </row>
    <row r="6" spans="1:11" ht="15.75">
      <c r="A6" s="45"/>
      <c r="B6" s="88" t="s">
        <v>5</v>
      </c>
      <c r="C6" s="88"/>
      <c r="D6" s="88"/>
      <c r="E6" s="88"/>
      <c r="F6" s="88"/>
      <c r="G6" s="88"/>
      <c r="H6" s="88"/>
      <c r="I6" s="88"/>
      <c r="J6" s="88"/>
      <c r="K6" s="46"/>
    </row>
    <row r="7" spans="1:11" ht="25.5" customHeight="1">
      <c r="A7" s="45"/>
      <c r="B7" s="81" t="s">
        <v>6</v>
      </c>
      <c r="C7" s="81"/>
      <c r="D7" s="81"/>
      <c r="E7" s="81"/>
      <c r="F7" s="81"/>
      <c r="G7" s="81"/>
      <c r="H7" s="81"/>
      <c r="I7" s="81"/>
      <c r="J7" s="81"/>
      <c r="K7" s="46"/>
    </row>
    <row r="8" spans="1:11" s="2" customFormat="1" ht="20.100000000000001" customHeight="1">
      <c r="A8" s="47"/>
      <c r="B8" s="6">
        <v>1</v>
      </c>
      <c r="C8" s="7" t="s">
        <v>39</v>
      </c>
      <c r="D8" s="78" t="s">
        <v>103</v>
      </c>
      <c r="E8" s="79"/>
      <c r="F8" s="79"/>
      <c r="G8" s="79"/>
      <c r="H8" s="79"/>
      <c r="I8" s="79"/>
      <c r="J8" s="80"/>
      <c r="K8" s="46"/>
    </row>
    <row r="9" spans="1:11" s="2" customFormat="1" ht="20.100000000000001" customHeight="1">
      <c r="A9" s="47"/>
      <c r="B9" s="6">
        <v>2</v>
      </c>
      <c r="C9" s="7" t="s">
        <v>16</v>
      </c>
      <c r="D9" s="31">
        <v>180</v>
      </c>
      <c r="E9" s="8">
        <v>2</v>
      </c>
      <c r="F9" s="9" t="s">
        <v>12</v>
      </c>
      <c r="G9"/>
      <c r="H9"/>
      <c r="I9"/>
      <c r="J9"/>
      <c r="K9" s="48"/>
    </row>
    <row r="10" spans="1:11" s="2" customFormat="1" ht="20.100000000000001" customHeight="1">
      <c r="A10" s="47"/>
      <c r="B10" s="6">
        <v>3</v>
      </c>
      <c r="C10" s="7" t="s">
        <v>45</v>
      </c>
      <c r="D10" s="31">
        <v>40</v>
      </c>
      <c r="E10" s="8">
        <v>3</v>
      </c>
      <c r="F10" s="9" t="s">
        <v>14</v>
      </c>
      <c r="G10"/>
      <c r="H10"/>
      <c r="I10"/>
      <c r="J10"/>
      <c r="K10" s="48"/>
    </row>
    <row r="11" spans="1:11" ht="22.5" customHeight="1">
      <c r="A11" s="45"/>
      <c r="B11" s="28" t="s">
        <v>8</v>
      </c>
      <c r="C11" s="28"/>
      <c r="D11" s="28"/>
      <c r="E11" s="28"/>
      <c r="F11" s="11"/>
      <c r="K11" s="46"/>
    </row>
    <row r="12" spans="1:11" s="2" customFormat="1" ht="30" customHeight="1">
      <c r="A12" s="47"/>
      <c r="B12" s="6">
        <v>4</v>
      </c>
      <c r="C12" s="40" t="s">
        <v>4</v>
      </c>
      <c r="D12" s="33">
        <f>CEILING(VLOOKUP($D$8,'Dati UnD'!B3:E33,4,FALSE)*IF(D9="",0,D9)/D10,1)</f>
        <v>251</v>
      </c>
      <c r="E12" s="8">
        <v>4</v>
      </c>
      <c r="F12" s="83" t="s">
        <v>86</v>
      </c>
      <c r="G12" s="84"/>
      <c r="H12" s="84"/>
      <c r="I12" s="84"/>
      <c r="J12"/>
      <c r="K12" s="48"/>
    </row>
    <row r="13" spans="1:11" s="2" customFormat="1" ht="30" customHeight="1">
      <c r="A13" s="47"/>
      <c r="B13" s="6">
        <v>5</v>
      </c>
      <c r="C13" s="32" t="s">
        <v>37</v>
      </c>
      <c r="D13" s="31">
        <v>0</v>
      </c>
      <c r="E13" s="8">
        <v>5</v>
      </c>
      <c r="F13" s="83" t="str">
        <f>IF(D13&gt;52,"ATTENZIONE !: il numero di svuotamenti è superiore al numero di passaggi previsto da calendario","E' possibile inserire il numero di svuotamenti annui previsti o effettivi")</f>
        <v>E' possibile inserire il numero di svuotamenti annui previsti o effettivi</v>
      </c>
      <c r="G13" s="84"/>
      <c r="H13" s="84"/>
      <c r="I13" s="84"/>
      <c r="J13"/>
      <c r="K13" s="48"/>
    </row>
    <row r="14" spans="1:11" s="2" customFormat="1" ht="30" customHeight="1">
      <c r="A14" s="47"/>
      <c r="B14" s="6">
        <v>6</v>
      </c>
      <c r="C14" s="32" t="s">
        <v>28</v>
      </c>
      <c r="D14" s="33">
        <f>IF(D13&gt;D12,D13-D12,0)</f>
        <v>0</v>
      </c>
      <c r="E14" s="85" t="str">
        <f>CONCATENATE("   (6)      Il costo per ogni svuotamento aggiuntivo è di € ",ROUND(VLOOKUP($D$10,'Dati UnD'!$I$5:$J$11,2,FALSE),2))</f>
        <v xml:space="preserve">   (6)      Il costo per ogni svuotamento aggiuntivo è di € 10</v>
      </c>
      <c r="F14" s="86"/>
      <c r="G14" s="87"/>
      <c r="H14" s="87"/>
      <c r="I14" s="87"/>
      <c r="J14" s="87"/>
      <c r="K14" s="48"/>
    </row>
    <row r="15" spans="1:11" s="2" customFormat="1" ht="30" customHeight="1">
      <c r="A15" s="47"/>
      <c r="B15" s="6">
        <v>7</v>
      </c>
      <c r="C15" s="60" t="s">
        <v>76</v>
      </c>
      <c r="D15" s="59">
        <v>0.3</v>
      </c>
      <c r="E15" s="8">
        <v>7</v>
      </c>
      <c r="F15" s="83" t="s">
        <v>78</v>
      </c>
      <c r="G15" s="89"/>
      <c r="H15" s="89"/>
      <c r="I15" s="89"/>
      <c r="J15" s="89"/>
      <c r="K15" s="48"/>
    </row>
    <row r="16" spans="1:11" s="2" customFormat="1" ht="30" customHeight="1">
      <c r="A16" s="47"/>
      <c r="B16" s="6">
        <v>8</v>
      </c>
      <c r="C16" s="60" t="s">
        <v>77</v>
      </c>
      <c r="D16" s="59">
        <v>0.3</v>
      </c>
      <c r="E16" s="8">
        <v>8</v>
      </c>
      <c r="F16" s="83" t="s">
        <v>79</v>
      </c>
      <c r="G16" s="89"/>
      <c r="H16" s="89"/>
      <c r="I16" s="89"/>
      <c r="J16" s="89"/>
      <c r="K16" s="48"/>
    </row>
    <row r="17" spans="1:11" s="2" customFormat="1" ht="14.25" customHeight="1">
      <c r="A17" s="47"/>
      <c r="B17" s="5"/>
      <c r="C17" s="5"/>
      <c r="D17" s="5"/>
      <c r="E17" s="5"/>
      <c r="F17" s="5"/>
      <c r="G17"/>
      <c r="H17"/>
      <c r="I17"/>
      <c r="J17"/>
      <c r="K17" s="48"/>
    </row>
    <row r="18" spans="1:11" ht="27" customHeight="1">
      <c r="A18" s="45"/>
      <c r="B18" s="41" t="s">
        <v>7</v>
      </c>
      <c r="C18" s="41"/>
      <c r="D18" s="41"/>
      <c r="E18" s="41"/>
      <c r="F18" s="3"/>
      <c r="K18" s="46"/>
    </row>
    <row r="19" spans="1:11" ht="27" customHeight="1">
      <c r="A19" s="45"/>
      <c r="B19" s="81" t="s">
        <v>34</v>
      </c>
      <c r="C19" s="82"/>
      <c r="D19" s="82"/>
      <c r="E19" s="82"/>
      <c r="F19" s="83"/>
      <c r="G19" s="84"/>
      <c r="H19" s="84"/>
      <c r="I19" s="84"/>
      <c r="K19" s="46"/>
    </row>
    <row r="20" spans="1:11" ht="15">
      <c r="A20" s="45"/>
      <c r="B20" s="12"/>
      <c r="C20" s="63" t="s">
        <v>84</v>
      </c>
      <c r="D20" s="13">
        <f>VLOOKUP($D$8,'Dati UnD'!B3:E33,3,FALSE)*IF(D9="",0,D9)*(1-D15)</f>
        <v>114.66</v>
      </c>
      <c r="E20" s="8">
        <v>9</v>
      </c>
      <c r="F20" s="83" t="s">
        <v>88</v>
      </c>
      <c r="G20" s="84"/>
      <c r="H20" s="84"/>
      <c r="I20" s="84"/>
      <c r="K20" s="46"/>
    </row>
    <row r="21" spans="1:11" ht="15">
      <c r="A21" s="45"/>
      <c r="B21" s="12"/>
      <c r="C21" s="63" t="s">
        <v>85</v>
      </c>
      <c r="D21" s="13">
        <f>IF($D$9=0,"",($D$12+$D$14)*$D$10*'Dati UnD'!$G$3)*(1-D16)</f>
        <v>1757</v>
      </c>
      <c r="E21" s="8">
        <v>10</v>
      </c>
      <c r="F21" s="83" t="s">
        <v>87</v>
      </c>
      <c r="G21" s="84"/>
      <c r="H21" s="84"/>
      <c r="I21" s="84"/>
      <c r="K21" s="46"/>
    </row>
    <row r="22" spans="1:11" ht="15">
      <c r="A22" s="45"/>
      <c r="B22" s="12"/>
      <c r="C22" s="39" t="s">
        <v>36</v>
      </c>
      <c r="D22" s="13">
        <f>D20+D21</f>
        <v>1871.66</v>
      </c>
      <c r="E22" s="8">
        <v>11</v>
      </c>
      <c r="F22" s="83" t="s">
        <v>10</v>
      </c>
      <c r="G22" s="84"/>
      <c r="H22" s="84"/>
      <c r="I22" s="84"/>
      <c r="K22" s="46"/>
    </row>
    <row r="23" spans="1:11" ht="14.25" customHeight="1">
      <c r="A23" s="45"/>
      <c r="B23" s="12"/>
      <c r="C23" s="10" t="s">
        <v>18</v>
      </c>
      <c r="D23" s="13">
        <f>ROUND(D22*5%,2)</f>
        <v>93.58</v>
      </c>
      <c r="E23" s="8">
        <v>12</v>
      </c>
      <c r="F23" s="83" t="s">
        <v>89</v>
      </c>
      <c r="G23" s="89"/>
      <c r="H23" s="89"/>
      <c r="I23" s="89"/>
      <c r="J23" s="89"/>
      <c r="K23" s="46"/>
    </row>
    <row r="24" spans="1:11" s="75" customFormat="1" ht="14.25" customHeight="1">
      <c r="A24" s="45"/>
      <c r="B24" s="12"/>
      <c r="C24" s="106" t="s">
        <v>105</v>
      </c>
      <c r="D24" s="13">
        <v>0.1</v>
      </c>
      <c r="E24" s="8"/>
      <c r="F24" s="73"/>
      <c r="G24" s="74"/>
      <c r="H24" s="74"/>
      <c r="I24" s="74"/>
      <c r="J24" s="74"/>
      <c r="K24" s="46"/>
    </row>
    <row r="25" spans="1:11" s="75" customFormat="1" ht="14.25" customHeight="1">
      <c r="A25" s="45"/>
      <c r="B25" s="12"/>
      <c r="C25" s="106" t="s">
        <v>106</v>
      </c>
      <c r="D25" s="13">
        <v>1.5</v>
      </c>
      <c r="E25" s="8"/>
      <c r="F25" s="73"/>
      <c r="G25" s="74"/>
      <c r="H25" s="74"/>
      <c r="I25" s="74"/>
      <c r="J25" s="74"/>
      <c r="K25" s="46"/>
    </row>
    <row r="26" spans="1:11" s="75" customFormat="1" ht="14.25" customHeight="1">
      <c r="A26" s="45"/>
      <c r="B26" s="12"/>
      <c r="C26" s="106" t="s">
        <v>107</v>
      </c>
      <c r="D26" s="13">
        <v>6</v>
      </c>
      <c r="E26" s="8"/>
      <c r="F26" s="73"/>
      <c r="G26" s="74"/>
      <c r="H26" s="74"/>
      <c r="I26" s="74"/>
      <c r="J26" s="74"/>
      <c r="K26" s="46"/>
    </row>
    <row r="27" spans="1:11" ht="15">
      <c r="A27" s="45"/>
      <c r="B27" s="93" t="s">
        <v>35</v>
      </c>
      <c r="C27" s="94"/>
      <c r="D27" s="14">
        <f>SUM(D22:D26)</f>
        <v>1972.84</v>
      </c>
      <c r="E27" s="15"/>
      <c r="F27" s="16"/>
      <c r="K27" s="46"/>
    </row>
    <row r="28" spans="1:11">
      <c r="A28" s="45"/>
      <c r="B28" s="3"/>
      <c r="C28" s="3"/>
      <c r="D28" s="3"/>
      <c r="E28" s="3"/>
      <c r="F28" s="3"/>
      <c r="K28" s="46"/>
    </row>
    <row r="29" spans="1:11">
      <c r="A29" s="45"/>
      <c r="B29" s="57" t="s">
        <v>11</v>
      </c>
      <c r="C29" s="30"/>
      <c r="D29" s="30"/>
      <c r="E29" s="30"/>
      <c r="F29" s="3"/>
      <c r="K29" s="46"/>
    </row>
    <row r="30" spans="1:11">
      <c r="A30" s="45"/>
      <c r="B30" s="6">
        <v>1</v>
      </c>
      <c r="C30" s="95" t="s">
        <v>40</v>
      </c>
      <c r="D30" s="96"/>
      <c r="E30" s="97"/>
      <c r="F30" s="3"/>
      <c r="K30" s="46"/>
    </row>
    <row r="31" spans="1:11">
      <c r="A31" s="45"/>
      <c r="B31" s="6">
        <v>2</v>
      </c>
      <c r="C31" s="95" t="s">
        <v>9</v>
      </c>
      <c r="D31" s="96"/>
      <c r="E31" s="97"/>
      <c r="F31" s="3"/>
      <c r="K31" s="46"/>
    </row>
    <row r="32" spans="1:11" ht="28.5" customHeight="1">
      <c r="A32" s="45"/>
      <c r="B32" s="6">
        <v>3</v>
      </c>
      <c r="C32" s="90" t="s">
        <v>13</v>
      </c>
      <c r="D32" s="91"/>
      <c r="E32" s="92"/>
      <c r="F32" s="3"/>
      <c r="K32" s="46"/>
    </row>
    <row r="33" spans="1:11" ht="84.75" customHeight="1">
      <c r="A33" s="45"/>
      <c r="B33" s="6">
        <v>4</v>
      </c>
      <c r="C33" s="90" t="s">
        <v>47</v>
      </c>
      <c r="D33" s="91"/>
      <c r="E33" s="92"/>
      <c r="F33" s="3"/>
      <c r="K33" s="46"/>
    </row>
    <row r="34" spans="1:11" ht="29.25" customHeight="1">
      <c r="A34" s="45"/>
      <c r="B34" s="6">
        <v>5</v>
      </c>
      <c r="C34" s="90" t="s">
        <v>15</v>
      </c>
      <c r="D34" s="91"/>
      <c r="E34" s="92"/>
      <c r="F34" s="3"/>
      <c r="K34" s="46"/>
    </row>
    <row r="35" spans="1:11" ht="33" customHeight="1">
      <c r="A35" s="45"/>
      <c r="B35" s="6">
        <v>6</v>
      </c>
      <c r="C35" s="90" t="s">
        <v>90</v>
      </c>
      <c r="D35" s="91"/>
      <c r="E35" s="92"/>
      <c r="F35" s="3"/>
      <c r="K35" s="46"/>
    </row>
    <row r="36" spans="1:11" ht="27.75" customHeight="1">
      <c r="A36" s="45"/>
      <c r="B36" s="6">
        <v>7</v>
      </c>
      <c r="C36" s="90" t="s">
        <v>80</v>
      </c>
      <c r="D36" s="91"/>
      <c r="E36" s="92"/>
      <c r="F36" s="3"/>
      <c r="K36" s="46"/>
    </row>
    <row r="37" spans="1:11" s="58" customFormat="1" ht="27.75" customHeight="1">
      <c r="A37" s="45"/>
      <c r="B37" s="6">
        <v>8</v>
      </c>
      <c r="C37" s="90" t="s">
        <v>81</v>
      </c>
      <c r="D37" s="91"/>
      <c r="E37" s="92"/>
      <c r="F37" s="3"/>
      <c r="K37" s="46"/>
    </row>
    <row r="38" spans="1:11" s="58" customFormat="1" ht="27.75" customHeight="1">
      <c r="A38" s="45"/>
      <c r="B38" s="6">
        <v>9</v>
      </c>
      <c r="C38" s="90" t="s">
        <v>83</v>
      </c>
      <c r="D38" s="91"/>
      <c r="E38" s="92"/>
      <c r="F38" s="3"/>
      <c r="K38" s="46"/>
    </row>
    <row r="39" spans="1:11" ht="29.25" customHeight="1">
      <c r="A39" s="45"/>
      <c r="B39" s="6">
        <v>10</v>
      </c>
      <c r="C39" s="90" t="s">
        <v>82</v>
      </c>
      <c r="D39" s="91"/>
      <c r="E39" s="92"/>
      <c r="F39" s="3"/>
      <c r="K39" s="46"/>
    </row>
    <row r="40" spans="1:11">
      <c r="A40" s="45"/>
      <c r="B40" s="6">
        <v>12</v>
      </c>
      <c r="C40" s="61" t="s">
        <v>17</v>
      </c>
      <c r="D40" s="62"/>
      <c r="E40" s="29"/>
      <c r="F40" s="3"/>
      <c r="K40" s="46"/>
    </row>
    <row r="41" spans="1:11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1"/>
    </row>
  </sheetData>
  <dataConsolidate/>
  <mergeCells count="28">
    <mergeCell ref="C37:E37"/>
    <mergeCell ref="C38:E38"/>
    <mergeCell ref="C39:E39"/>
    <mergeCell ref="F23:J23"/>
    <mergeCell ref="B27:C27"/>
    <mergeCell ref="C34:E34"/>
    <mergeCell ref="C35:E35"/>
    <mergeCell ref="C36:E36"/>
    <mergeCell ref="C30:E30"/>
    <mergeCell ref="C31:E31"/>
    <mergeCell ref="C32:E32"/>
    <mergeCell ref="C33:E33"/>
    <mergeCell ref="F21:I21"/>
    <mergeCell ref="F22:I22"/>
    <mergeCell ref="F20:I20"/>
    <mergeCell ref="F16:J16"/>
    <mergeCell ref="F15:J15"/>
    <mergeCell ref="B2:J2"/>
    <mergeCell ref="B3:J3"/>
    <mergeCell ref="B4:J4"/>
    <mergeCell ref="D8:J8"/>
    <mergeCell ref="B19:E19"/>
    <mergeCell ref="F19:I19"/>
    <mergeCell ref="E14:J14"/>
    <mergeCell ref="B7:J7"/>
    <mergeCell ref="B6:J6"/>
    <mergeCell ref="F12:I12"/>
    <mergeCell ref="F13:I13"/>
  </mergeCells>
  <conditionalFormatting sqref="D9:F10">
    <cfRule type="cellIs" dxfId="6" priority="9" operator="equal">
      <formula>0</formula>
    </cfRule>
  </conditionalFormatting>
  <conditionalFormatting sqref="D13:E13">
    <cfRule type="cellIs" dxfId="5" priority="8" operator="equal">
      <formula>0</formula>
    </cfRule>
  </conditionalFormatting>
  <conditionalFormatting sqref="E14">
    <cfRule type="expression" dxfId="4" priority="4">
      <formula>$D$14&gt;0.9</formula>
    </cfRule>
  </conditionalFormatting>
  <conditionalFormatting sqref="D27:F27">
    <cfRule type="expression" dxfId="3" priority="13">
      <formula>$D$8*$D$9*$D$10*$D$13=0</formula>
    </cfRule>
  </conditionalFormatting>
  <conditionalFormatting sqref="D16">
    <cfRule type="cellIs" dxfId="2" priority="3" operator="equal">
      <formula>0</formula>
    </cfRule>
  </conditionalFormatting>
  <conditionalFormatting sqref="D15">
    <cfRule type="cellIs" dxfId="1" priority="2" operator="equal">
      <formula>0</formula>
    </cfRule>
  </conditionalFormatting>
  <conditionalFormatting sqref="E15:E16">
    <cfRule type="cellIs" dxfId="0" priority="1" operator="equal">
      <formula>0</formula>
    </cfRule>
  </conditionalFormatting>
  <dataValidations count="2">
    <dataValidation type="list" allowBlank="1" showInputMessage="1" showErrorMessage="1" sqref="D10:F10">
      <formula1>Contenitori</formula1>
    </dataValidation>
    <dataValidation type="list" allowBlank="1" showInputMessage="1" showErrorMessage="1" sqref="D8:J8">
      <formula1>Categ2</formula1>
    </dataValidation>
  </dataValidations>
  <printOptions horizontalCentered="1"/>
  <pageMargins left="0.31496062992125984" right="0.11811023622047245" top="0.74803149606299213" bottom="0.35433070866141736" header="0.31496062992125984" footer="0.31496062992125984"/>
  <pageSetup paperSize="9" scale="93" orientation="portrait" r:id="rId1"/>
  <ignoredErrors>
    <ignoredError sqref="D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P33"/>
  <sheetViews>
    <sheetView showGridLines="0" zoomScale="80" zoomScaleNormal="80" workbookViewId="0">
      <selection activeCell="I6" sqref="I6"/>
    </sheetView>
  </sheetViews>
  <sheetFormatPr defaultRowHeight="12.75"/>
  <cols>
    <col min="2" max="2" width="72.85546875" customWidth="1"/>
    <col min="3" max="3" width="10.5703125" customWidth="1"/>
    <col min="4" max="4" width="14.85546875" customWidth="1"/>
    <col min="5" max="5" width="30" bestFit="1" customWidth="1"/>
    <col min="9" max="9" width="11.85546875" customWidth="1"/>
    <col min="12" max="12" width="13.85546875" customWidth="1"/>
    <col min="13" max="13" width="14.85546875" customWidth="1"/>
    <col min="14" max="14" width="17.5703125" customWidth="1"/>
  </cols>
  <sheetData>
    <row r="1" spans="2:16" ht="12.75" customHeight="1">
      <c r="E1" s="54"/>
    </row>
    <row r="2" spans="2:16" ht="15.75">
      <c r="B2" s="52" t="s">
        <v>41</v>
      </c>
      <c r="C2" s="54" t="s">
        <v>42</v>
      </c>
      <c r="D2" s="54" t="s">
        <v>43</v>
      </c>
      <c r="E2" s="52" t="s">
        <v>44</v>
      </c>
      <c r="G2" t="s">
        <v>30</v>
      </c>
      <c r="H2" s="1"/>
      <c r="I2" s="56" t="s">
        <v>29</v>
      </c>
    </row>
    <row r="3" spans="2:16" ht="15">
      <c r="B3" s="53" t="s">
        <v>48</v>
      </c>
      <c r="C3" s="55">
        <v>1</v>
      </c>
      <c r="D3" s="72">
        <v>0.62</v>
      </c>
      <c r="E3" s="71">
        <v>13.72</v>
      </c>
      <c r="G3" s="38">
        <v>0.25</v>
      </c>
      <c r="H3" s="34" t="s">
        <v>3</v>
      </c>
      <c r="I3" s="36" t="s">
        <v>0</v>
      </c>
      <c r="J3" s="36" t="s">
        <v>31</v>
      </c>
      <c r="K3" s="1" t="s">
        <v>1</v>
      </c>
      <c r="P3" t="str">
        <f>A3&amp;" "&amp;B3</f>
        <v xml:space="preserve"> 1 Musei, biblioteche, scuole, associazioni, luoghi di culto</v>
      </c>
    </row>
    <row r="4" spans="2:16" ht="15">
      <c r="B4" s="53" t="s">
        <v>49</v>
      </c>
      <c r="C4" s="55">
        <v>2</v>
      </c>
      <c r="D4" s="72">
        <v>0.47</v>
      </c>
      <c r="E4" s="71">
        <v>14.49</v>
      </c>
      <c r="I4" s="36"/>
      <c r="J4" s="36"/>
      <c r="M4" s="17" t="s">
        <v>32</v>
      </c>
      <c r="N4" s="35">
        <v>0.1</v>
      </c>
      <c r="P4" t="str">
        <f t="shared" ref="P4:P23" si="0">A4&amp;" "&amp;B4</f>
        <v xml:space="preserve"> 2 Cinematografi e teatri</v>
      </c>
    </row>
    <row r="5" spans="2:16" ht="15">
      <c r="B5" s="53" t="s">
        <v>50</v>
      </c>
      <c r="C5" s="55">
        <v>3</v>
      </c>
      <c r="D5" s="72">
        <v>0.53</v>
      </c>
      <c r="E5" s="71">
        <v>14.06</v>
      </c>
      <c r="I5" s="17">
        <v>40</v>
      </c>
      <c r="J5" s="37">
        <f>I5*'Dati UnD'!$G$3</f>
        <v>10</v>
      </c>
      <c r="M5" s="17" t="s">
        <v>33</v>
      </c>
      <c r="N5" s="35">
        <v>0.3</v>
      </c>
      <c r="P5" t="str">
        <f t="shared" si="0"/>
        <v xml:space="preserve"> 3 Autorimesse e magazzini senza alcuna vendita diretta</v>
      </c>
    </row>
    <row r="6" spans="2:16" ht="15">
      <c r="B6" s="53" t="s">
        <v>51</v>
      </c>
      <c r="C6" s="55">
        <v>4</v>
      </c>
      <c r="D6" s="72">
        <v>0.82</v>
      </c>
      <c r="E6" s="71">
        <v>16.89</v>
      </c>
      <c r="I6" s="17">
        <v>80</v>
      </c>
      <c r="J6" s="37">
        <f>I6*'Dati UnD'!$G$3</f>
        <v>20</v>
      </c>
      <c r="M6" s="17" t="s">
        <v>2</v>
      </c>
      <c r="N6" s="35">
        <v>0</v>
      </c>
      <c r="P6" t="str">
        <f t="shared" si="0"/>
        <v xml:space="preserve"> 4 Campeggi, distributori carburanti, impianti sportivi</v>
      </c>
    </row>
    <row r="7" spans="2:16" ht="15">
      <c r="B7" s="53" t="s">
        <v>52</v>
      </c>
      <c r="C7" s="55">
        <v>5</v>
      </c>
      <c r="D7" s="72">
        <v>0.68</v>
      </c>
      <c r="E7" s="71">
        <v>17.16</v>
      </c>
      <c r="I7" s="17">
        <v>120</v>
      </c>
      <c r="J7" s="37">
        <f>I7*'Dati UnD'!$G$3</f>
        <v>30</v>
      </c>
      <c r="P7" t="str">
        <f t="shared" si="0"/>
        <v xml:space="preserve"> 5 Stabilimenti balneari</v>
      </c>
    </row>
    <row r="8" spans="2:16" ht="15">
      <c r="B8" s="53" t="s">
        <v>53</v>
      </c>
      <c r="C8" s="55">
        <v>6</v>
      </c>
      <c r="D8" s="72">
        <v>0.38</v>
      </c>
      <c r="E8" s="71">
        <v>9.26</v>
      </c>
      <c r="I8" s="17">
        <v>240</v>
      </c>
      <c r="J8" s="37">
        <f>I8*'Dati UnD'!$G$3</f>
        <v>60</v>
      </c>
      <c r="P8" t="str">
        <f t="shared" si="0"/>
        <v xml:space="preserve"> 6 Esposizioni, autosaloni</v>
      </c>
    </row>
    <row r="9" spans="2:16" ht="15">
      <c r="B9" s="53" t="s">
        <v>54</v>
      </c>
      <c r="C9" s="55">
        <v>7</v>
      </c>
      <c r="D9" s="72">
        <v>1.22</v>
      </c>
      <c r="E9" s="71">
        <v>12.08</v>
      </c>
      <c r="I9" s="17">
        <v>360</v>
      </c>
      <c r="J9" s="37">
        <f>I9*'Dati UnD'!$G$3</f>
        <v>90</v>
      </c>
      <c r="P9" t="str">
        <f t="shared" si="0"/>
        <v xml:space="preserve"> 7 Alberghi con ristorante</v>
      </c>
    </row>
    <row r="10" spans="2:16" ht="15">
      <c r="B10" s="53" t="s">
        <v>55</v>
      </c>
      <c r="C10" s="55">
        <v>8</v>
      </c>
      <c r="D10" s="72">
        <v>0.96</v>
      </c>
      <c r="E10" s="71">
        <v>23.19</v>
      </c>
      <c r="I10" s="17">
        <v>660</v>
      </c>
      <c r="J10" s="37">
        <f>I10*'Dati UnD'!$G$3</f>
        <v>165</v>
      </c>
      <c r="P10" t="str">
        <f t="shared" si="0"/>
        <v xml:space="preserve"> 8 Alberghi senza ristorante</v>
      </c>
    </row>
    <row r="11" spans="2:16" ht="15">
      <c r="B11" s="53" t="s">
        <v>56</v>
      </c>
      <c r="C11" s="55">
        <v>9</v>
      </c>
      <c r="D11" s="72">
        <v>1.48</v>
      </c>
      <c r="E11" s="71">
        <v>34.99</v>
      </c>
      <c r="I11" s="17">
        <v>1100</v>
      </c>
      <c r="J11" s="37">
        <f>I11*'Dati UnD'!$G$3</f>
        <v>275</v>
      </c>
      <c r="P11" t="str">
        <f t="shared" si="0"/>
        <v xml:space="preserve"> 9 Case di cura e riposo</v>
      </c>
    </row>
    <row r="12" spans="2:16" ht="15">
      <c r="B12" s="53" t="s">
        <v>57</v>
      </c>
      <c r="C12" s="55">
        <v>10</v>
      </c>
      <c r="D12" s="72">
        <v>1.1200000000000001</v>
      </c>
      <c r="E12" s="71">
        <v>48.45</v>
      </c>
      <c r="P12" t="str">
        <f t="shared" si="0"/>
        <v xml:space="preserve"> 10 Ospedali</v>
      </c>
    </row>
    <row r="13" spans="2:16" ht="15.75" thickBot="1">
      <c r="B13" s="53" t="s">
        <v>102</v>
      </c>
      <c r="C13" s="55">
        <v>11</v>
      </c>
      <c r="D13" s="72">
        <v>1.32</v>
      </c>
      <c r="E13" s="71">
        <v>31.35</v>
      </c>
      <c r="P13" t="str">
        <f t="shared" si="0"/>
        <v xml:space="preserve"> 11 Uffici, agenzie</v>
      </c>
    </row>
    <row r="14" spans="2:16" ht="15">
      <c r="B14" s="53" t="s">
        <v>103</v>
      </c>
      <c r="C14" s="55">
        <v>12</v>
      </c>
      <c r="D14" s="72">
        <v>0.91</v>
      </c>
      <c r="E14" s="71">
        <v>55.62</v>
      </c>
      <c r="I14" s="100" t="s">
        <v>0</v>
      </c>
      <c r="J14" s="98"/>
      <c r="K14" s="98" t="s">
        <v>27</v>
      </c>
      <c r="L14" s="99"/>
      <c r="P14" t="str">
        <f t="shared" si="0"/>
        <v xml:space="preserve"> 12 Banche,  istituti di credito e studi professionali</v>
      </c>
    </row>
    <row r="15" spans="2:16" ht="15.75" thickBot="1">
      <c r="B15" s="53" t="s">
        <v>58</v>
      </c>
      <c r="C15" s="55">
        <v>13</v>
      </c>
      <c r="D15" s="72">
        <v>1.19</v>
      </c>
      <c r="E15" s="71">
        <v>27.28</v>
      </c>
      <c r="I15" s="20" t="s">
        <v>19</v>
      </c>
      <c r="J15" s="21" t="s">
        <v>20</v>
      </c>
      <c r="K15" s="26" t="s">
        <v>25</v>
      </c>
      <c r="L15" s="27" t="s">
        <v>26</v>
      </c>
      <c r="P15" t="str">
        <f t="shared" si="0"/>
        <v xml:space="preserve"> 13 Negozi abbigliamento, calzature, libreria, cartoleria, ferramenta e altri beni durevoli</v>
      </c>
    </row>
    <row r="16" spans="2:16" ht="15">
      <c r="B16" s="53" t="s">
        <v>59</v>
      </c>
      <c r="C16" s="55">
        <v>14</v>
      </c>
      <c r="D16" s="72">
        <v>1.0900000000000001</v>
      </c>
      <c r="E16" s="71">
        <v>26.65</v>
      </c>
      <c r="I16" s="23" t="s">
        <v>21</v>
      </c>
      <c r="J16" s="24">
        <v>40</v>
      </c>
      <c r="K16" s="24">
        <v>48</v>
      </c>
      <c r="L16" s="25">
        <v>160</v>
      </c>
      <c r="P16" t="str">
        <f t="shared" si="0"/>
        <v xml:space="preserve"> 14 Edicola, farmacia, tabaccaio, plurilicenze</v>
      </c>
    </row>
    <row r="17" spans="2:16" ht="15">
      <c r="B17" s="53" t="s">
        <v>60</v>
      </c>
      <c r="C17" s="55">
        <v>15</v>
      </c>
      <c r="D17" s="72">
        <v>0.81</v>
      </c>
      <c r="E17" s="71">
        <v>18.45</v>
      </c>
      <c r="I17" s="18" t="s">
        <v>22</v>
      </c>
      <c r="J17" s="17">
        <v>80</v>
      </c>
      <c r="K17" s="17">
        <v>90</v>
      </c>
      <c r="L17" s="19">
        <v>120</v>
      </c>
      <c r="P17" t="str">
        <f t="shared" si="0"/>
        <v xml:space="preserve"> 15 Negozi particolari quali filatelia, tende e tessuti, tappeti, cappelli e ombrelli, antiquariato</v>
      </c>
    </row>
    <row r="18" spans="2:16" ht="15" customHeight="1">
      <c r="B18" s="53" t="s">
        <v>61</v>
      </c>
      <c r="C18" s="55">
        <v>16</v>
      </c>
      <c r="D18" s="72">
        <v>1.62</v>
      </c>
      <c r="E18" s="71">
        <v>53.24</v>
      </c>
      <c r="I18" s="101" t="s">
        <v>23</v>
      </c>
      <c r="J18" s="17">
        <v>120</v>
      </c>
      <c r="K18" s="17">
        <v>95</v>
      </c>
      <c r="L18" s="19">
        <v>100</v>
      </c>
      <c r="P18" t="str">
        <f t="shared" si="0"/>
        <v xml:space="preserve"> 16 Banchi di mercato beni durevoli</v>
      </c>
    </row>
    <row r="19" spans="2:16" ht="15">
      <c r="B19" s="53" t="s">
        <v>62</v>
      </c>
      <c r="C19" s="55">
        <v>17</v>
      </c>
      <c r="D19" s="72">
        <v>1.1100000000000001</v>
      </c>
      <c r="E19" s="71">
        <v>27.06</v>
      </c>
      <c r="I19" s="101"/>
      <c r="J19" s="17">
        <v>240</v>
      </c>
      <c r="K19" s="17">
        <v>110</v>
      </c>
      <c r="L19" s="19">
        <v>125</v>
      </c>
      <c r="P19" t="str">
        <f t="shared" si="0"/>
        <v xml:space="preserve"> 17 Attività artigianali tipo botteghe: parrucchiere, barbiere, estetista</v>
      </c>
    </row>
    <row r="20" spans="2:16" ht="15">
      <c r="B20" s="53" t="s">
        <v>63</v>
      </c>
      <c r="C20" s="55">
        <v>18</v>
      </c>
      <c r="D20" s="72">
        <v>0.95</v>
      </c>
      <c r="E20" s="71">
        <v>20.05</v>
      </c>
      <c r="I20" s="101"/>
      <c r="J20" s="17">
        <v>360</v>
      </c>
      <c r="K20" s="17">
        <v>110</v>
      </c>
      <c r="L20" s="19">
        <v>145</v>
      </c>
      <c r="P20" t="str">
        <f t="shared" si="0"/>
        <v xml:space="preserve"> 18 Attività artigianali tipo botteghe: falegname, idraulico, fabbro, elettricista</v>
      </c>
    </row>
    <row r="21" spans="2:16" ht="15.75" thickBot="1">
      <c r="B21" s="53" t="s">
        <v>64</v>
      </c>
      <c r="C21" s="55">
        <v>19</v>
      </c>
      <c r="D21" s="72">
        <v>1.08</v>
      </c>
      <c r="E21" s="71">
        <v>26.56</v>
      </c>
      <c r="I21" s="20" t="s">
        <v>24</v>
      </c>
      <c r="J21" s="21">
        <v>660</v>
      </c>
      <c r="K21" s="21">
        <v>120</v>
      </c>
      <c r="L21" s="22">
        <v>200</v>
      </c>
      <c r="P21" t="str">
        <f t="shared" si="0"/>
        <v xml:space="preserve"> 19 Carrozzeria, autofficina, elettrauto</v>
      </c>
    </row>
    <row r="22" spans="2:16" ht="15">
      <c r="B22" s="53" t="s">
        <v>65</v>
      </c>
      <c r="C22" s="55">
        <v>20</v>
      </c>
      <c r="D22" s="72">
        <v>0.59</v>
      </c>
      <c r="E22" s="71">
        <v>14.91</v>
      </c>
      <c r="P22" t="str">
        <f t="shared" si="0"/>
        <v xml:space="preserve"> 20 Attività industriali con capannoni di produzione</v>
      </c>
    </row>
    <row r="23" spans="2:16" ht="15">
      <c r="B23" s="53" t="s">
        <v>66</v>
      </c>
      <c r="C23" s="55">
        <v>21</v>
      </c>
      <c r="D23" s="72">
        <v>0.56000000000000005</v>
      </c>
      <c r="E23" s="71">
        <v>22.24</v>
      </c>
      <c r="P23" t="str">
        <f t="shared" si="0"/>
        <v xml:space="preserve"> 21 Attività artigianali di produzione beni specifici</v>
      </c>
    </row>
    <row r="24" spans="2:16" ht="15">
      <c r="B24" s="53" t="s">
        <v>104</v>
      </c>
      <c r="C24" s="55" t="s">
        <v>101</v>
      </c>
      <c r="D24" s="72">
        <v>0.7</v>
      </c>
      <c r="E24" s="71">
        <v>17.05</v>
      </c>
      <c r="P24" t="str">
        <f t="shared" ref="P24:P32" si="1">A24&amp;" "&amp;B25</f>
        <v xml:space="preserve"> 22 Ristoranti, trattorie, osterie, pizzerie, pub</v>
      </c>
    </row>
    <row r="25" spans="2:16" ht="15">
      <c r="B25" s="53" t="s">
        <v>67</v>
      </c>
      <c r="C25" s="55">
        <v>22</v>
      </c>
      <c r="D25" s="72">
        <v>3.68</v>
      </c>
      <c r="E25" s="71">
        <v>87.94</v>
      </c>
      <c r="P25" t="str">
        <f t="shared" si="1"/>
        <v xml:space="preserve"> 23 Mense, birrerie, amburgherie</v>
      </c>
    </row>
    <row r="26" spans="2:16" ht="15">
      <c r="B26" s="53" t="s">
        <v>68</v>
      </c>
      <c r="C26" s="55">
        <v>23</v>
      </c>
      <c r="D26" s="72">
        <v>3.02</v>
      </c>
      <c r="E26" s="71">
        <v>80.86</v>
      </c>
      <c r="P26" t="str">
        <f t="shared" si="1"/>
        <v xml:space="preserve"> 24 Bar, caffè, pasticceria</v>
      </c>
    </row>
    <row r="27" spans="2:16" ht="15">
      <c r="B27" s="53" t="s">
        <v>69</v>
      </c>
      <c r="C27" s="55">
        <v>24</v>
      </c>
      <c r="D27" s="72">
        <v>2.78</v>
      </c>
      <c r="E27" s="71">
        <v>63.28</v>
      </c>
      <c r="P27" t="str">
        <f t="shared" si="1"/>
        <v xml:space="preserve"> 25 Supermercato, pane e pasta, macelleria, salumi e formaggi, generi alimentari</v>
      </c>
    </row>
    <row r="28" spans="2:16" ht="15">
      <c r="B28" s="53" t="s">
        <v>70</v>
      </c>
      <c r="C28" s="55">
        <v>25</v>
      </c>
      <c r="D28" s="72">
        <v>1.69</v>
      </c>
      <c r="E28" s="71">
        <v>39.28</v>
      </c>
      <c r="P28" t="str">
        <f t="shared" si="1"/>
        <v xml:space="preserve"> 26 Plurilicenze alimentari e/o miste</v>
      </c>
    </row>
    <row r="29" spans="2:16" ht="15">
      <c r="B29" s="53" t="s">
        <v>71</v>
      </c>
      <c r="C29" s="55">
        <v>26</v>
      </c>
      <c r="D29" s="72">
        <v>1.93</v>
      </c>
      <c r="E29" s="71">
        <v>46.54</v>
      </c>
      <c r="P29" t="str">
        <f t="shared" si="1"/>
        <v xml:space="preserve"> 27 Ortofrutta, pescherie, fiori e piante, pizza al taglio</v>
      </c>
    </row>
    <row r="30" spans="2:16" ht="15">
      <c r="B30" s="53" t="s">
        <v>72</v>
      </c>
      <c r="C30" s="55">
        <v>27</v>
      </c>
      <c r="D30" s="72">
        <v>4.79</v>
      </c>
      <c r="E30" s="71">
        <v>119.36</v>
      </c>
      <c r="P30" t="str">
        <f t="shared" si="1"/>
        <v xml:space="preserve"> 28 Ipermercati di generi misti</v>
      </c>
    </row>
    <row r="31" spans="2:16" ht="15">
      <c r="B31" s="53" t="s">
        <v>73</v>
      </c>
      <c r="C31" s="55">
        <v>28</v>
      </c>
      <c r="D31" s="72">
        <v>2.02</v>
      </c>
      <c r="E31" s="71">
        <v>56.27</v>
      </c>
      <c r="P31" t="str">
        <f t="shared" si="1"/>
        <v xml:space="preserve"> 29 Banchi di mercato generi alimentari</v>
      </c>
    </row>
    <row r="32" spans="2:16" ht="15">
      <c r="B32" s="53" t="s">
        <v>74</v>
      </c>
      <c r="C32" s="55">
        <v>29</v>
      </c>
      <c r="D32" s="72">
        <v>6.7</v>
      </c>
      <c r="E32" s="71">
        <v>201.17</v>
      </c>
      <c r="P32" t="str">
        <f t="shared" si="1"/>
        <v xml:space="preserve"> 30 Discoteche, night club</v>
      </c>
    </row>
    <row r="33" spans="2:5" ht="15">
      <c r="B33" s="53" t="s">
        <v>75</v>
      </c>
      <c r="C33" s="55">
        <v>30</v>
      </c>
      <c r="D33" s="72">
        <v>0.74</v>
      </c>
      <c r="E33" s="71">
        <v>43.39</v>
      </c>
    </row>
  </sheetData>
  <mergeCells count="3">
    <mergeCell ref="K14:L14"/>
    <mergeCell ref="I14:J14"/>
    <mergeCell ref="I18:I20"/>
  </mergeCells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26"/>
  <sheetViews>
    <sheetView workbookViewId="0">
      <selection activeCell="J17" sqref="J17:J18"/>
    </sheetView>
  </sheetViews>
  <sheetFormatPr defaultRowHeight="12.75"/>
  <cols>
    <col min="1" max="1" width="13.7109375" customWidth="1"/>
    <col min="2" max="2" width="5.85546875" bestFit="1" customWidth="1"/>
    <col min="3" max="3" width="28.28515625" customWidth="1"/>
    <col min="4" max="8" width="11.85546875" bestFit="1" customWidth="1"/>
    <col min="9" max="11" width="12.85546875" bestFit="1" customWidth="1"/>
  </cols>
  <sheetData>
    <row r="3" spans="1:11">
      <c r="D3" s="68">
        <v>2014</v>
      </c>
      <c r="E3" s="68">
        <v>2015</v>
      </c>
      <c r="F3" s="68">
        <v>2016</v>
      </c>
      <c r="G3" s="68">
        <v>2017</v>
      </c>
      <c r="H3" s="68">
        <v>2018</v>
      </c>
      <c r="I3" s="68"/>
    </row>
    <row r="4" spans="1:11">
      <c r="B4" s="64" t="s">
        <v>91</v>
      </c>
      <c r="D4">
        <f>1.17+1.47</f>
        <v>2.6399999999999997</v>
      </c>
      <c r="E4">
        <f>1.24+1.23</f>
        <v>2.4699999999999998</v>
      </c>
      <c r="F4">
        <f>1.18+1.33</f>
        <v>2.5099999999999998</v>
      </c>
      <c r="G4">
        <f>1.71+1.02</f>
        <v>2.73</v>
      </c>
      <c r="H4">
        <f>1.93+0.99</f>
        <v>2.92</v>
      </c>
    </row>
    <row r="5" spans="1:11">
      <c r="B5" s="64" t="s">
        <v>95</v>
      </c>
    </row>
    <row r="6" spans="1:11">
      <c r="A6" s="64" t="s">
        <v>94</v>
      </c>
      <c r="B6" s="64" t="s">
        <v>92</v>
      </c>
      <c r="D6" s="64"/>
      <c r="E6" s="69"/>
      <c r="F6" s="69"/>
      <c r="G6" s="69"/>
      <c r="H6" s="69"/>
    </row>
    <row r="7" spans="1:11">
      <c r="A7" s="64" t="s">
        <v>93</v>
      </c>
      <c r="B7" s="64" t="s">
        <v>92</v>
      </c>
      <c r="D7" s="69"/>
      <c r="E7" s="69">
        <v>4200</v>
      </c>
      <c r="F7" s="69">
        <v>4200</v>
      </c>
      <c r="G7" s="69">
        <v>4200</v>
      </c>
      <c r="H7" s="69">
        <v>4200</v>
      </c>
    </row>
    <row r="8" spans="1:11" s="64" customFormat="1"/>
    <row r="9" spans="1:11">
      <c r="I9" s="67" t="s">
        <v>100</v>
      </c>
    </row>
    <row r="10" spans="1:11">
      <c r="A10" s="103" t="s">
        <v>94</v>
      </c>
      <c r="C10" s="65" t="s">
        <v>96</v>
      </c>
      <c r="D10" s="66">
        <f>D6*D5</f>
        <v>0</v>
      </c>
      <c r="E10" s="66">
        <f t="shared" ref="E10:H10" si="0">E6*E5</f>
        <v>0</v>
      </c>
      <c r="F10" s="66">
        <f t="shared" si="0"/>
        <v>0</v>
      </c>
      <c r="G10" s="66">
        <f t="shared" si="0"/>
        <v>0</v>
      </c>
      <c r="H10" s="66">
        <f t="shared" si="0"/>
        <v>0</v>
      </c>
      <c r="I10" s="66">
        <f t="shared" ref="I10:I13" si="1">SUM(D10:H10)</f>
        <v>0</v>
      </c>
      <c r="J10" s="102">
        <f>(I10*100%/3)+(I12*50%/3)+I10+I12</f>
        <v>0</v>
      </c>
    </row>
    <row r="11" spans="1:11">
      <c r="A11" s="103"/>
      <c r="C11" s="65" t="s">
        <v>97</v>
      </c>
      <c r="D11" s="66">
        <f>D6*D4</f>
        <v>0</v>
      </c>
      <c r="E11" s="66">
        <f t="shared" ref="E11:H11" si="2">E6*E4</f>
        <v>0</v>
      </c>
      <c r="F11" s="66">
        <f t="shared" si="2"/>
        <v>0</v>
      </c>
      <c r="G11" s="66">
        <f t="shared" si="2"/>
        <v>0</v>
      </c>
      <c r="H11" s="66">
        <f t="shared" si="2"/>
        <v>0</v>
      </c>
      <c r="I11" s="66">
        <f t="shared" si="1"/>
        <v>0</v>
      </c>
      <c r="J11" s="103"/>
    </row>
    <row r="12" spans="1:11">
      <c r="A12" s="103" t="s">
        <v>93</v>
      </c>
      <c r="C12" s="65" t="s">
        <v>96</v>
      </c>
      <c r="F12" s="66">
        <f>F7*F5</f>
        <v>0</v>
      </c>
      <c r="G12" s="66">
        <f t="shared" ref="G12:H12" si="3">G7*G5</f>
        <v>0</v>
      </c>
      <c r="H12" s="66">
        <f t="shared" si="3"/>
        <v>0</v>
      </c>
      <c r="I12" s="66">
        <f t="shared" si="1"/>
        <v>0</v>
      </c>
      <c r="J12" s="103"/>
    </row>
    <row r="13" spans="1:11">
      <c r="A13" s="103"/>
      <c r="C13" s="65" t="s">
        <v>97</v>
      </c>
      <c r="E13" s="66">
        <f>E7*E4*244/365</f>
        <v>6934.9479452054784</v>
      </c>
      <c r="F13" s="66">
        <f>F7*F4</f>
        <v>10542</v>
      </c>
      <c r="G13" s="66">
        <f t="shared" ref="G13:H13" si="4">G7*G4</f>
        <v>11466</v>
      </c>
      <c r="H13" s="66">
        <f t="shared" si="4"/>
        <v>12264</v>
      </c>
      <c r="I13" s="66">
        <f t="shared" si="1"/>
        <v>41206.94794520548</v>
      </c>
      <c r="J13" s="103"/>
    </row>
    <row r="14" spans="1:11">
      <c r="A14" s="2"/>
      <c r="I14" s="66"/>
    </row>
    <row r="15" spans="1:11">
      <c r="A15" s="103" t="s">
        <v>94</v>
      </c>
      <c r="C15" s="65" t="s">
        <v>98</v>
      </c>
      <c r="D15" s="66">
        <f>D10-D11</f>
        <v>0</v>
      </c>
      <c r="E15" s="66">
        <f>E10-E11</f>
        <v>0</v>
      </c>
      <c r="F15" s="66">
        <f>F10-F11</f>
        <v>0</v>
      </c>
      <c r="G15" s="66">
        <f>G10-G11</f>
        <v>0</v>
      </c>
      <c r="H15" s="66">
        <f>H10-H11</f>
        <v>0</v>
      </c>
      <c r="I15" s="66">
        <f>SUM(D15:H15)</f>
        <v>0</v>
      </c>
      <c r="J15" s="104">
        <f>I15+I16</f>
        <v>0</v>
      </c>
      <c r="K15" s="102">
        <f>SUM(J15:J18)</f>
        <v>-45696</v>
      </c>
    </row>
    <row r="16" spans="1:11">
      <c r="A16" s="103"/>
      <c r="C16" s="65" t="s">
        <v>99</v>
      </c>
      <c r="F16" s="66">
        <f>F15*50%/3</f>
        <v>0</v>
      </c>
      <c r="G16" s="66">
        <f t="shared" ref="G16:H16" si="5">G15*50%/3</f>
        <v>0</v>
      </c>
      <c r="H16" s="66">
        <f t="shared" si="5"/>
        <v>0</v>
      </c>
      <c r="I16" s="66">
        <f t="shared" ref="I16:I18" si="6">SUM(D16:H16)</f>
        <v>0</v>
      </c>
      <c r="J16" s="105"/>
      <c r="K16" s="103"/>
    </row>
    <row r="17" spans="1:11">
      <c r="A17" s="103" t="s">
        <v>93</v>
      </c>
      <c r="C17" s="65" t="s">
        <v>98</v>
      </c>
      <c r="F17" s="66">
        <f>F12-F13</f>
        <v>-10542</v>
      </c>
      <c r="G17" s="66">
        <f t="shared" ref="G17:H17" si="7">G12-G13</f>
        <v>-11466</v>
      </c>
      <c r="H17" s="66">
        <f t="shared" si="7"/>
        <v>-12264</v>
      </c>
      <c r="I17" s="66">
        <f t="shared" si="6"/>
        <v>-34272</v>
      </c>
      <c r="J17" s="104">
        <f>I17+I18</f>
        <v>-45696</v>
      </c>
      <c r="K17" s="103"/>
    </row>
    <row r="18" spans="1:11">
      <c r="A18" s="103"/>
      <c r="C18" s="65" t="s">
        <v>99</v>
      </c>
      <c r="F18" s="66">
        <f>F17*100%/3</f>
        <v>-3514</v>
      </c>
      <c r="G18" s="66">
        <f t="shared" ref="G18:H18" si="8">G17*100%/3</f>
        <v>-3822</v>
      </c>
      <c r="H18" s="66">
        <f t="shared" si="8"/>
        <v>-4088</v>
      </c>
      <c r="I18" s="66">
        <f t="shared" si="6"/>
        <v>-11424</v>
      </c>
      <c r="J18" s="105"/>
      <c r="K18" s="103"/>
    </row>
    <row r="24" spans="1:11">
      <c r="E24" s="70"/>
    </row>
    <row r="26" spans="1:11">
      <c r="E26" s="70"/>
    </row>
  </sheetData>
  <mergeCells count="8">
    <mergeCell ref="K15:K18"/>
    <mergeCell ref="A10:A11"/>
    <mergeCell ref="A12:A13"/>
    <mergeCell ref="A15:A16"/>
    <mergeCell ref="A17:A18"/>
    <mergeCell ref="J17:J18"/>
    <mergeCell ref="J15:J16"/>
    <mergeCell ref="J10:J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Simulatore UnD</vt:lpstr>
      <vt:lpstr>Dati UnD</vt:lpstr>
      <vt:lpstr>Foglio1</vt:lpstr>
      <vt:lpstr>Categ</vt:lpstr>
      <vt:lpstr>Categ2</vt:lpstr>
      <vt:lpstr>Contenitori</vt:lpstr>
      <vt:lpstr>Si_No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Lanuvio</dc:creator>
  <cp:lastModifiedBy>Giancarlo Ritieri</cp:lastModifiedBy>
  <cp:lastPrinted>2018-04-11T14:27:37Z</cp:lastPrinted>
  <dcterms:created xsi:type="dcterms:W3CDTF">2018-01-29T14:55:59Z</dcterms:created>
  <dcterms:modified xsi:type="dcterms:W3CDTF">2025-07-11T08:46:34Z</dcterms:modified>
</cp:coreProperties>
</file>